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Bolle Estates (Onoenta, AL)/4 Marketing Folder (External)/"/>
    </mc:Choice>
  </mc:AlternateContent>
  <xr:revisionPtr revIDLastSave="43" documentId="8_{9369BD4F-5592-4CF5-8B5E-30F8D78A41EF}" xr6:coauthVersionLast="47" xr6:coauthVersionMax="47" xr10:uidLastSave="{FAF13E51-D0CB-4B61-8AB9-621BE0C4C498}"/>
  <bookViews>
    <workbookView xWindow="57480" yWindow="1455" windowWidth="29040" windowHeight="15720" xr2:uid="{79CCE592-5D9A-470D-9E0E-1DBA639216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24" i="1" l="1"/>
  <c r="O26" i="1"/>
  <c r="P26" i="1" s="1"/>
  <c r="O25" i="1"/>
  <c r="P25" i="1" s="1"/>
  <c r="O23" i="1"/>
  <c r="P23" i="1" s="1"/>
  <c r="O19" i="1"/>
  <c r="P19" i="1" s="1"/>
  <c r="M27" i="1"/>
  <c r="H24" i="1"/>
  <c r="G24" i="1"/>
  <c r="F24" i="1"/>
  <c r="M22" i="1"/>
  <c r="K22" i="1"/>
  <c r="H22" i="1"/>
  <c r="G22" i="1"/>
  <c r="F22" i="1"/>
  <c r="D22" i="1"/>
  <c r="O22" i="1" s="1"/>
  <c r="P22" i="1" s="1"/>
  <c r="N21" i="1"/>
  <c r="M21" i="1"/>
  <c r="N20" i="1"/>
  <c r="M20" i="1"/>
  <c r="L21" i="1"/>
  <c r="J21" i="1"/>
  <c r="I21" i="1"/>
  <c r="H21" i="1"/>
  <c r="G21" i="1"/>
  <c r="F21" i="1"/>
  <c r="D21" i="1"/>
  <c r="C21" i="1"/>
  <c r="K20" i="1"/>
  <c r="J20" i="1"/>
  <c r="I20" i="1"/>
  <c r="G20" i="1"/>
  <c r="F20" i="1"/>
  <c r="E20" i="1"/>
  <c r="D20" i="1"/>
  <c r="C20" i="1"/>
  <c r="N18" i="1"/>
  <c r="M18" i="1"/>
  <c r="L18" i="1"/>
  <c r="L27" i="1" s="1"/>
  <c r="K18" i="1"/>
  <c r="J18" i="1"/>
  <c r="I18" i="1"/>
  <c r="H18" i="1"/>
  <c r="G18" i="1"/>
  <c r="F18" i="1"/>
  <c r="E18" i="1"/>
  <c r="E27" i="1" s="1"/>
  <c r="D18" i="1"/>
  <c r="C18" i="1"/>
  <c r="N12" i="1"/>
  <c r="M12" i="1"/>
  <c r="N11" i="1"/>
  <c r="N10" i="1"/>
  <c r="M10" i="1"/>
  <c r="N9" i="1"/>
  <c r="N32" i="1" s="1"/>
  <c r="M9" i="1"/>
  <c r="M32" i="1" s="1"/>
  <c r="N8" i="1"/>
  <c r="M8" i="1"/>
  <c r="P8" i="1" s="1"/>
  <c r="L14" i="1"/>
  <c r="K14" i="1"/>
  <c r="J14" i="1"/>
  <c r="I14" i="1"/>
  <c r="H14" i="1"/>
  <c r="G14" i="1"/>
  <c r="F14" i="1"/>
  <c r="E14" i="1"/>
  <c r="D14" i="1"/>
  <c r="C14" i="1"/>
  <c r="L12" i="1"/>
  <c r="K12" i="1"/>
  <c r="J12" i="1"/>
  <c r="I12" i="1"/>
  <c r="D12" i="1"/>
  <c r="C12" i="1"/>
  <c r="J11" i="1"/>
  <c r="H11" i="1"/>
  <c r="E11" i="1"/>
  <c r="D11" i="1"/>
  <c r="L10" i="1"/>
  <c r="K10" i="1"/>
  <c r="J10" i="1"/>
  <c r="I10" i="1"/>
  <c r="H10" i="1"/>
  <c r="G10" i="1"/>
  <c r="F10" i="1"/>
  <c r="E10" i="1"/>
  <c r="D10" i="1"/>
  <c r="C10" i="1"/>
  <c r="L9" i="1"/>
  <c r="L32" i="1" s="1"/>
  <c r="K9" i="1"/>
  <c r="K32" i="1" s="1"/>
  <c r="L8" i="1"/>
  <c r="K8" i="1"/>
  <c r="J8" i="1"/>
  <c r="I8" i="1"/>
  <c r="H8" i="1"/>
  <c r="G8" i="1"/>
  <c r="G13" i="1" s="1"/>
  <c r="F8" i="1"/>
  <c r="F13" i="1" s="1"/>
  <c r="E8" i="1"/>
  <c r="D8" i="1"/>
  <c r="C8" i="1"/>
  <c r="N27" i="1" l="1"/>
  <c r="C27" i="1"/>
  <c r="D27" i="1"/>
  <c r="J27" i="1"/>
  <c r="O24" i="1"/>
  <c r="J13" i="1"/>
  <c r="J15" i="1" s="1"/>
  <c r="J28" i="1" s="1"/>
  <c r="G27" i="1"/>
  <c r="O21" i="1"/>
  <c r="P21" i="1" s="1"/>
  <c r="I13" i="1"/>
  <c r="I15" i="1" s="1"/>
  <c r="O20" i="1"/>
  <c r="P20" i="1" s="1"/>
  <c r="O14" i="1"/>
  <c r="H27" i="1"/>
  <c r="F27" i="1"/>
  <c r="I27" i="1"/>
  <c r="K27" i="1"/>
  <c r="O18" i="1"/>
  <c r="O11" i="1"/>
  <c r="P11" i="1" s="1"/>
  <c r="G15" i="1"/>
  <c r="G30" i="1" s="1"/>
  <c r="G33" i="1" s="1"/>
  <c r="L13" i="1"/>
  <c r="L15" i="1" s="1"/>
  <c r="L30" i="1" s="1"/>
  <c r="L33" i="1" s="1"/>
  <c r="O8" i="1"/>
  <c r="O10" i="1"/>
  <c r="P10" i="1" s="1"/>
  <c r="H13" i="1"/>
  <c r="H15" i="1" s="1"/>
  <c r="D13" i="1"/>
  <c r="D15" i="1" s="1"/>
  <c r="O12" i="1"/>
  <c r="P12" i="1" s="1"/>
  <c r="O9" i="1"/>
  <c r="O32" i="1" s="1"/>
  <c r="E13" i="1"/>
  <c r="E15" i="1" s="1"/>
  <c r="E28" i="1" s="1"/>
  <c r="F15" i="1"/>
  <c r="C13" i="1"/>
  <c r="C15" i="1" s="1"/>
  <c r="C30" i="1" s="1"/>
  <c r="C33" i="1" s="1"/>
  <c r="M13" i="1"/>
  <c r="M15" i="1" s="1"/>
  <c r="M30" i="1" s="1"/>
  <c r="M33" i="1" s="1"/>
  <c r="K13" i="1"/>
  <c r="K15" i="1" s="1"/>
  <c r="N13" i="1"/>
  <c r="N15" i="1" s="1"/>
  <c r="O27" i="1" l="1"/>
  <c r="N30" i="1"/>
  <c r="N33" i="1" s="1"/>
  <c r="D30" i="1"/>
  <c r="D33" i="1" s="1"/>
  <c r="H30" i="1"/>
  <c r="H33" i="1" s="1"/>
  <c r="J30" i="1"/>
  <c r="J33" i="1" s="1"/>
  <c r="K30" i="1"/>
  <c r="K33" i="1" s="1"/>
  <c r="I30" i="1"/>
  <c r="I33" i="1" s="1"/>
  <c r="P13" i="1"/>
  <c r="P15" i="1" s="1"/>
  <c r="P18" i="1" s="1"/>
  <c r="P27" i="1" s="1"/>
  <c r="F30" i="1"/>
  <c r="F33" i="1" s="1"/>
  <c r="D28" i="1"/>
  <c r="M28" i="1"/>
  <c r="C28" i="1"/>
  <c r="K28" i="1"/>
  <c r="N28" i="1"/>
  <c r="E30" i="1"/>
  <c r="E33" i="1" s="1"/>
  <c r="I28" i="1"/>
  <c r="F28" i="1"/>
  <c r="G28" i="1"/>
  <c r="L28" i="1"/>
  <c r="H28" i="1"/>
  <c r="P28" i="1"/>
  <c r="P30" i="1"/>
  <c r="P33" i="1" s="1"/>
  <c r="O13" i="1"/>
  <c r="O15" i="1" s="1"/>
  <c r="O30" i="1" s="1"/>
  <c r="O33" i="1" s="1"/>
  <c r="O28" i="1" l="1"/>
</calcChain>
</file>

<file path=xl/sharedStrings.xml><?xml version="1.0" encoding="utf-8"?>
<sst xmlns="http://schemas.openxmlformats.org/spreadsheetml/2006/main" count="56" uniqueCount="49">
  <si>
    <t>Total Income</t>
  </si>
  <si>
    <t>Total Expenses</t>
  </si>
  <si>
    <t>Lot Rent Income</t>
  </si>
  <si>
    <t>Mar. 2025</t>
  </si>
  <si>
    <t>Apr. 2025</t>
  </si>
  <si>
    <t>May. 2025</t>
  </si>
  <si>
    <t>Jun. 2025</t>
  </si>
  <si>
    <t>Jul. 2025</t>
  </si>
  <si>
    <t>Aug. 2025</t>
  </si>
  <si>
    <t>Sep. 2025</t>
  </si>
  <si>
    <t>Oct. 2025</t>
  </si>
  <si>
    <t>Nov. 2025</t>
  </si>
  <si>
    <t>Dec. 2025</t>
  </si>
  <si>
    <t>Jan. 2026</t>
  </si>
  <si>
    <t>Feb. 2026</t>
  </si>
  <si>
    <t>Park Owned Home Rental Income</t>
  </si>
  <si>
    <t>Late Fees</t>
  </si>
  <si>
    <t>NSF Fee</t>
  </si>
  <si>
    <t>Application Fees</t>
  </si>
  <si>
    <t>Rental Property Income</t>
  </si>
  <si>
    <t>Total Rental Property Income</t>
  </si>
  <si>
    <t>Prepaid Income</t>
  </si>
  <si>
    <t>T12</t>
  </si>
  <si>
    <t>2026 Projected</t>
  </si>
  <si>
    <t xml:space="preserve">Income: </t>
  </si>
  <si>
    <t xml:space="preserve">Expenses: </t>
  </si>
  <si>
    <t>Property Management</t>
  </si>
  <si>
    <t>Personnel Expenses</t>
  </si>
  <si>
    <t>Utilities - Water &amp; Sewer</t>
  </si>
  <si>
    <t>Utilities - Electric</t>
  </si>
  <si>
    <t>Repairs &amp; Maintenance</t>
  </si>
  <si>
    <t>Insurance Expense</t>
  </si>
  <si>
    <t>Legal &amp; Professional Services</t>
  </si>
  <si>
    <t>Taxes, Permits, Licenses &amp; Fees</t>
  </si>
  <si>
    <t>Expenses as % of Total Income</t>
  </si>
  <si>
    <t>Projection assumes 6% of Total Income</t>
  </si>
  <si>
    <t>Insurance Expense assumes $75/pad/year</t>
  </si>
  <si>
    <t>Assumes 3% increase on T12 expense</t>
  </si>
  <si>
    <t>Notes on 2026 Projections</t>
  </si>
  <si>
    <t>T12 P&amp;L - Bolle Estates (Oneonta, AL)</t>
  </si>
  <si>
    <t>General Office &amp; Administration Expense</t>
  </si>
  <si>
    <t>Assumes renting the 1 remaining vacant new POH at 900 (assumes conservative collections/occupancy of 90%)</t>
  </si>
  <si>
    <t>Assumes annualized Trailing 2 months, as rents were increased January 2026</t>
  </si>
  <si>
    <t>Remains consistent with T12</t>
  </si>
  <si>
    <t>Removed prepaid income from projections</t>
  </si>
  <si>
    <t>Projections assume 50% of T12 due to one time accounting expense of $15,000 in May of 2025</t>
  </si>
  <si>
    <t>Less Home Income</t>
  </si>
  <si>
    <t>Net Operating Income - Land</t>
  </si>
  <si>
    <t>Net Operating Income - Gross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</si>
</sst>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3" tint="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 indent="2"/>
    </xf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5" fillId="0" borderId="0" xfId="0" applyFont="1"/>
    <xf numFmtId="9" fontId="5" fillId="0" borderId="0" xfId="1" applyFont="1" applyAlignment="1">
      <alignment horizontal="center"/>
    </xf>
    <xf numFmtId="9" fontId="5" fillId="2" borderId="0" xfId="1" applyFont="1" applyFill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E05A-E6DA-4786-A6C5-B7C44EBAD53E}">
  <dimension ref="A1:R45"/>
  <sheetViews>
    <sheetView showGridLines="0" tabSelected="1" workbookViewId="0">
      <selection activeCell="B35" sqref="B35"/>
    </sheetView>
  </sheetViews>
  <sheetFormatPr defaultRowHeight="14.5" x14ac:dyDescent="0.35"/>
  <cols>
    <col min="1" max="1" width="1.7265625" customWidth="1"/>
    <col min="2" max="2" width="37.1796875" bestFit="1" customWidth="1"/>
    <col min="3" max="14" width="9.26953125" style="9" customWidth="1"/>
    <col min="15" max="15" width="13.453125" style="12" customWidth="1"/>
    <col min="16" max="16" width="13.453125" style="9" customWidth="1"/>
    <col min="17" max="17" width="95.453125" style="15" bestFit="1" customWidth="1"/>
  </cols>
  <sheetData>
    <row r="1" spans="1:18" x14ac:dyDescent="0.35">
      <c r="A1" s="4" t="s">
        <v>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/>
      <c r="P1" s="2"/>
      <c r="Q1"/>
    </row>
    <row r="2" spans="1:18" x14ac:dyDescent="0.3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/>
      <c r="P2" s="2"/>
      <c r="Q2"/>
    </row>
    <row r="3" spans="1:18" x14ac:dyDescent="0.3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/>
      <c r="P3" s="2"/>
      <c r="Q3"/>
    </row>
    <row r="4" spans="1:18" x14ac:dyDescent="0.3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/>
      <c r="P4" s="2"/>
      <c r="Q4"/>
    </row>
    <row r="5" spans="1:18" x14ac:dyDescent="0.35">
      <c r="B5" s="7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16" t="s">
        <v>22</v>
      </c>
      <c r="P5" s="16" t="s">
        <v>23</v>
      </c>
      <c r="Q5" s="8" t="s">
        <v>38</v>
      </c>
    </row>
    <row r="6" spans="1:18" x14ac:dyDescent="0.35">
      <c r="B6" s="4" t="s">
        <v>24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7"/>
      <c r="P6" s="17"/>
      <c r="Q6" s="6"/>
      <c r="R6" s="3"/>
    </row>
    <row r="7" spans="1:18" x14ac:dyDescent="0.35">
      <c r="B7" s="1" t="s">
        <v>19</v>
      </c>
      <c r="O7" s="18"/>
      <c r="P7" s="18"/>
      <c r="Q7" s="6"/>
      <c r="R7" s="3"/>
    </row>
    <row r="8" spans="1:18" x14ac:dyDescent="0.35">
      <c r="B8" s="13" t="s">
        <v>2</v>
      </c>
      <c r="C8" s="9">
        <f>27625</f>
        <v>27625</v>
      </c>
      <c r="D8" s="9">
        <f>27078</f>
        <v>27078</v>
      </c>
      <c r="E8" s="9">
        <f>28950</f>
        <v>28950</v>
      </c>
      <c r="F8" s="9">
        <f>27725</f>
        <v>27725</v>
      </c>
      <c r="G8" s="9">
        <f>27725</f>
        <v>27725</v>
      </c>
      <c r="H8" s="9">
        <f>28150</f>
        <v>28150</v>
      </c>
      <c r="I8" s="9">
        <f>27725</f>
        <v>27725</v>
      </c>
      <c r="J8" s="9">
        <f>29050</f>
        <v>29050</v>
      </c>
      <c r="K8" s="9">
        <f>27775</f>
        <v>27775</v>
      </c>
      <c r="L8" s="9">
        <f>27775</f>
        <v>27775</v>
      </c>
      <c r="M8" s="9">
        <f>32175</f>
        <v>32175</v>
      </c>
      <c r="N8" s="9">
        <f>32670</f>
        <v>32670</v>
      </c>
      <c r="O8" s="18">
        <f>SUM(C8:N8)</f>
        <v>344423</v>
      </c>
      <c r="P8" s="18">
        <f>AVERAGE(M8:N8)*12</f>
        <v>389070</v>
      </c>
      <c r="Q8" s="6" t="s">
        <v>42</v>
      </c>
      <c r="R8" s="3"/>
    </row>
    <row r="9" spans="1:18" x14ac:dyDescent="0.35">
      <c r="B9" s="13" t="s">
        <v>15</v>
      </c>
      <c r="K9" s="9">
        <f>900</f>
        <v>900</v>
      </c>
      <c r="L9" s="9">
        <f>650</f>
        <v>650</v>
      </c>
      <c r="M9" s="9">
        <f>650</f>
        <v>650</v>
      </c>
      <c r="N9" s="9">
        <f>1800</f>
        <v>1800</v>
      </c>
      <c r="O9" s="18">
        <f t="shared" ref="O9:O12" si="0">SUM(C9:N9)</f>
        <v>4000</v>
      </c>
      <c r="P9" s="18">
        <v>29160</v>
      </c>
      <c r="Q9" s="6" t="s">
        <v>41</v>
      </c>
      <c r="R9" s="3"/>
    </row>
    <row r="10" spans="1:18" x14ac:dyDescent="0.35">
      <c r="B10" s="13" t="s">
        <v>16</v>
      </c>
      <c r="C10" s="9">
        <f>450</f>
        <v>450</v>
      </c>
      <c r="D10" s="9">
        <f>200</f>
        <v>200</v>
      </c>
      <c r="E10" s="9">
        <f>500</f>
        <v>500</v>
      </c>
      <c r="F10" s="9">
        <f>300</f>
        <v>300</v>
      </c>
      <c r="G10" s="9">
        <f>400</f>
        <v>400</v>
      </c>
      <c r="H10" s="9">
        <f>200</f>
        <v>200</v>
      </c>
      <c r="I10" s="9">
        <f>300</f>
        <v>300</v>
      </c>
      <c r="J10" s="9">
        <f>400</f>
        <v>400</v>
      </c>
      <c r="K10" s="9">
        <f>200</f>
        <v>200</v>
      </c>
      <c r="L10" s="9">
        <f>200</f>
        <v>200</v>
      </c>
      <c r="M10" s="9">
        <f>400</f>
        <v>400</v>
      </c>
      <c r="N10" s="9">
        <f>550</f>
        <v>550</v>
      </c>
      <c r="O10" s="18">
        <f t="shared" si="0"/>
        <v>4100</v>
      </c>
      <c r="P10" s="18">
        <f>O10</f>
        <v>4100</v>
      </c>
      <c r="Q10" s="6" t="s">
        <v>43</v>
      </c>
      <c r="R10" s="3"/>
    </row>
    <row r="11" spans="1:18" x14ac:dyDescent="0.35">
      <c r="B11" s="13" t="s">
        <v>17</v>
      </c>
      <c r="D11" s="9">
        <f>25</f>
        <v>25</v>
      </c>
      <c r="E11" s="9">
        <f>25</f>
        <v>25</v>
      </c>
      <c r="H11" s="9">
        <f>25</f>
        <v>25</v>
      </c>
      <c r="J11" s="9">
        <f>25</f>
        <v>25</v>
      </c>
      <c r="N11" s="9">
        <f>25</f>
        <v>25</v>
      </c>
      <c r="O11" s="18">
        <f t="shared" si="0"/>
        <v>125</v>
      </c>
      <c r="P11" s="18">
        <f>O11</f>
        <v>125</v>
      </c>
      <c r="Q11" s="6" t="s">
        <v>43</v>
      </c>
      <c r="R11" s="3"/>
    </row>
    <row r="12" spans="1:18" x14ac:dyDescent="0.35">
      <c r="B12" s="13" t="s">
        <v>18</v>
      </c>
      <c r="C12" s="10">
        <f>57.98</f>
        <v>57.98</v>
      </c>
      <c r="D12" s="10">
        <f>-86.97</f>
        <v>-86.97</v>
      </c>
      <c r="E12" s="10"/>
      <c r="F12" s="10"/>
      <c r="G12" s="10"/>
      <c r="H12" s="10"/>
      <c r="I12" s="10">
        <f>28.99</f>
        <v>28.99</v>
      </c>
      <c r="J12" s="10">
        <f>28.99</f>
        <v>28.99</v>
      </c>
      <c r="K12" s="10">
        <f>-28.99</f>
        <v>-28.99</v>
      </c>
      <c r="L12" s="10">
        <f>57.98</f>
        <v>57.98</v>
      </c>
      <c r="M12" s="10">
        <f>115.96</f>
        <v>115.96</v>
      </c>
      <c r="N12" s="10">
        <f>-115.96</f>
        <v>-115.96</v>
      </c>
      <c r="O12" s="19">
        <f t="shared" si="0"/>
        <v>57.980000000000004</v>
      </c>
      <c r="P12" s="19">
        <f>O12</f>
        <v>57.980000000000004</v>
      </c>
      <c r="Q12" s="6" t="s">
        <v>43</v>
      </c>
      <c r="R12" s="3"/>
    </row>
    <row r="13" spans="1:18" x14ac:dyDescent="0.35">
      <c r="B13" s="1" t="s">
        <v>20</v>
      </c>
      <c r="C13" s="9">
        <f t="shared" ref="C13:P13" si="1">SUM(C8:C12)</f>
        <v>28132.98</v>
      </c>
      <c r="D13" s="9">
        <f t="shared" si="1"/>
        <v>27216.03</v>
      </c>
      <c r="E13" s="9">
        <f t="shared" si="1"/>
        <v>29475</v>
      </c>
      <c r="F13" s="9">
        <f t="shared" si="1"/>
        <v>28025</v>
      </c>
      <c r="G13" s="9">
        <f t="shared" si="1"/>
        <v>28125</v>
      </c>
      <c r="H13" s="9">
        <f t="shared" si="1"/>
        <v>28375</v>
      </c>
      <c r="I13" s="9">
        <f t="shared" si="1"/>
        <v>28053.99</v>
      </c>
      <c r="J13" s="9">
        <f t="shared" si="1"/>
        <v>29503.99</v>
      </c>
      <c r="K13" s="9">
        <f t="shared" si="1"/>
        <v>28846.01</v>
      </c>
      <c r="L13" s="9">
        <f t="shared" si="1"/>
        <v>28682.98</v>
      </c>
      <c r="M13" s="9">
        <f t="shared" si="1"/>
        <v>33340.959999999999</v>
      </c>
      <c r="N13" s="9">
        <f t="shared" si="1"/>
        <v>34929.040000000001</v>
      </c>
      <c r="O13" s="18">
        <f t="shared" si="1"/>
        <v>352705.98</v>
      </c>
      <c r="P13" s="18">
        <f t="shared" si="1"/>
        <v>422512.98</v>
      </c>
      <c r="Q13" s="6"/>
      <c r="R13" s="3"/>
    </row>
    <row r="14" spans="1:18" x14ac:dyDescent="0.35">
      <c r="B14" s="13" t="s">
        <v>21</v>
      </c>
      <c r="C14" s="10">
        <f>2513</f>
        <v>2513</v>
      </c>
      <c r="D14" s="10">
        <f>-2103</f>
        <v>-2103</v>
      </c>
      <c r="E14" s="10">
        <f>2450</f>
        <v>2450</v>
      </c>
      <c r="F14" s="10">
        <f>-2519</f>
        <v>-2519</v>
      </c>
      <c r="G14" s="10">
        <f>-410</f>
        <v>-410</v>
      </c>
      <c r="H14" s="10">
        <f>1750</f>
        <v>1750</v>
      </c>
      <c r="I14" s="10">
        <f>-1254</f>
        <v>-1254</v>
      </c>
      <c r="J14" s="10">
        <f>2205</f>
        <v>2205</v>
      </c>
      <c r="K14" s="10">
        <f>-2431</f>
        <v>-2431</v>
      </c>
      <c r="L14" s="10">
        <f>2663</f>
        <v>2663</v>
      </c>
      <c r="M14" s="10"/>
      <c r="N14" s="10"/>
      <c r="O14" s="19">
        <f>SUM(C14:N14)</f>
        <v>2864</v>
      </c>
      <c r="P14" s="19"/>
      <c r="Q14" s="6" t="s">
        <v>44</v>
      </c>
      <c r="R14" s="3"/>
    </row>
    <row r="15" spans="1:18" s="4" customFormat="1" x14ac:dyDescent="0.35">
      <c r="B15" s="4" t="s">
        <v>0</v>
      </c>
      <c r="C15" s="11">
        <f>SUM(C13:C14)</f>
        <v>30645.98</v>
      </c>
      <c r="D15" s="11">
        <f t="shared" ref="D15:P15" si="2">SUM(D13:D14)</f>
        <v>25113.03</v>
      </c>
      <c r="E15" s="11">
        <f t="shared" si="2"/>
        <v>31925</v>
      </c>
      <c r="F15" s="11">
        <f t="shared" si="2"/>
        <v>25506</v>
      </c>
      <c r="G15" s="11">
        <f t="shared" si="2"/>
        <v>27715</v>
      </c>
      <c r="H15" s="11">
        <f t="shared" si="2"/>
        <v>30125</v>
      </c>
      <c r="I15" s="11">
        <f t="shared" si="2"/>
        <v>26799.99</v>
      </c>
      <c r="J15" s="11">
        <f t="shared" si="2"/>
        <v>31708.99</v>
      </c>
      <c r="K15" s="11">
        <f t="shared" si="2"/>
        <v>26415.01</v>
      </c>
      <c r="L15" s="11">
        <f t="shared" si="2"/>
        <v>31345.98</v>
      </c>
      <c r="M15" s="11">
        <f t="shared" si="2"/>
        <v>33340.959999999999</v>
      </c>
      <c r="N15" s="11">
        <f t="shared" si="2"/>
        <v>34929.040000000001</v>
      </c>
      <c r="O15" s="20">
        <f t="shared" si="2"/>
        <v>355569.98</v>
      </c>
      <c r="P15" s="20">
        <f t="shared" si="2"/>
        <v>422512.98</v>
      </c>
      <c r="Q15" s="14"/>
      <c r="R15" s="5"/>
    </row>
    <row r="16" spans="1:18" x14ac:dyDescent="0.35">
      <c r="O16" s="18"/>
      <c r="P16" s="18"/>
      <c r="Q16" s="6"/>
      <c r="R16" s="3"/>
    </row>
    <row r="17" spans="2:18" x14ac:dyDescent="0.35">
      <c r="B17" s="4" t="s">
        <v>25</v>
      </c>
      <c r="O17" s="18"/>
      <c r="P17" s="18"/>
      <c r="Q17" s="6"/>
      <c r="R17" s="3"/>
    </row>
    <row r="18" spans="2:18" x14ac:dyDescent="0.35">
      <c r="B18" s="1" t="s">
        <v>26</v>
      </c>
      <c r="C18" s="9">
        <f>3373.5</f>
        <v>3373.5</v>
      </c>
      <c r="D18" s="9">
        <f>1838.76</f>
        <v>1838.76</v>
      </c>
      <c r="E18" s="9">
        <f>1506.78</f>
        <v>1506.78</v>
      </c>
      <c r="F18" s="9">
        <f>1915.5</f>
        <v>1915.5</v>
      </c>
      <c r="G18" s="9">
        <f>1530.36</f>
        <v>1530.36</v>
      </c>
      <c r="H18" s="9">
        <f>1662.9</f>
        <v>1662.9</v>
      </c>
      <c r="I18" s="9">
        <f>1807.5</f>
        <v>1807.5</v>
      </c>
      <c r="J18" s="9">
        <f>1608</f>
        <v>1608</v>
      </c>
      <c r="K18" s="9">
        <f>1902.54</f>
        <v>1902.54</v>
      </c>
      <c r="L18" s="9">
        <f>1584.9</f>
        <v>1584.9</v>
      </c>
      <c r="M18" s="9">
        <f>1880.76</f>
        <v>1880.76</v>
      </c>
      <c r="N18" s="9">
        <f>2097.66</f>
        <v>2097.66</v>
      </c>
      <c r="O18" s="18">
        <f t="shared" ref="O18:O26" si="3">SUM(C18:N18)</f>
        <v>22709.16</v>
      </c>
      <c r="P18" s="18">
        <f>P15*0.06</f>
        <v>25350.778799999996</v>
      </c>
      <c r="Q18" s="6" t="s">
        <v>35</v>
      </c>
      <c r="R18" s="3"/>
    </row>
    <row r="19" spans="2:18" x14ac:dyDescent="0.35">
      <c r="B19" s="1" t="s">
        <v>27</v>
      </c>
      <c r="C19" s="9">
        <v>1456.02</v>
      </c>
      <c r="D19" s="9">
        <v>1605.53</v>
      </c>
      <c r="E19" s="9">
        <v>1851.66</v>
      </c>
      <c r="F19" s="9">
        <v>1502.87</v>
      </c>
      <c r="G19" s="9">
        <v>1514.74</v>
      </c>
      <c r="H19" s="9">
        <v>1735.04</v>
      </c>
      <c r="I19" s="9">
        <v>1585.43</v>
      </c>
      <c r="J19" s="9">
        <v>1330.88</v>
      </c>
      <c r="K19" s="9">
        <v>1567.55</v>
      </c>
      <c r="L19" s="9">
        <v>2467.4699999999998</v>
      </c>
      <c r="M19" s="9">
        <v>1603.37</v>
      </c>
      <c r="N19" s="9">
        <v>997.3</v>
      </c>
      <c r="O19" s="18">
        <f t="shared" si="3"/>
        <v>19217.86</v>
      </c>
      <c r="P19" s="18">
        <f>O19*1.03</f>
        <v>19794.395800000002</v>
      </c>
      <c r="Q19" s="6" t="s">
        <v>37</v>
      </c>
      <c r="R19" s="3"/>
    </row>
    <row r="20" spans="2:18" x14ac:dyDescent="0.35">
      <c r="B20" s="1" t="s">
        <v>28</v>
      </c>
      <c r="C20" s="9">
        <f>166.6</f>
        <v>166.6</v>
      </c>
      <c r="D20" s="9">
        <f>41.4</f>
        <v>41.4</v>
      </c>
      <c r="E20" s="9">
        <f>122.55</f>
        <v>122.55</v>
      </c>
      <c r="F20" s="9">
        <f>45.8</f>
        <v>45.8</v>
      </c>
      <c r="G20" s="9">
        <f>91.6</f>
        <v>91.6</v>
      </c>
      <c r="I20" s="9">
        <f>35.8</f>
        <v>35.799999999999997</v>
      </c>
      <c r="J20" s="9">
        <f>45.8</f>
        <v>45.8</v>
      </c>
      <c r="K20" s="9">
        <f>45.8</f>
        <v>45.8</v>
      </c>
      <c r="M20" s="9">
        <f>105.76</f>
        <v>105.76</v>
      </c>
      <c r="N20" s="9">
        <f>42.88</f>
        <v>42.88</v>
      </c>
      <c r="O20" s="18">
        <f t="shared" si="3"/>
        <v>743.99</v>
      </c>
      <c r="P20" s="18">
        <f>O20*1.03</f>
        <v>766.30970000000002</v>
      </c>
      <c r="Q20" s="6" t="s">
        <v>37</v>
      </c>
      <c r="R20" s="3"/>
    </row>
    <row r="21" spans="2:18" x14ac:dyDescent="0.35">
      <c r="B21" s="1" t="s">
        <v>29</v>
      </c>
      <c r="C21" s="9">
        <f>32.12</f>
        <v>32.119999999999997</v>
      </c>
      <c r="D21" s="9">
        <f>627.36</f>
        <v>627.36</v>
      </c>
      <c r="F21" s="9">
        <f>158.03</f>
        <v>158.03</v>
      </c>
      <c r="G21" s="9">
        <f>676.79</f>
        <v>676.79</v>
      </c>
      <c r="H21" s="9">
        <f>35.44</f>
        <v>35.44</v>
      </c>
      <c r="I21" s="9">
        <f>276.29</f>
        <v>276.29000000000002</v>
      </c>
      <c r="J21" s="9">
        <f>406.73</f>
        <v>406.73</v>
      </c>
      <c r="L21" s="9">
        <f>199.12</f>
        <v>199.12</v>
      </c>
      <c r="M21" s="9">
        <f>330.03</f>
        <v>330.03</v>
      </c>
      <c r="N21" s="9">
        <f>365.58</f>
        <v>365.58</v>
      </c>
      <c r="O21" s="18">
        <f t="shared" si="3"/>
        <v>3107.49</v>
      </c>
      <c r="P21" s="18">
        <f>O21*1.03</f>
        <v>3200.7147</v>
      </c>
      <c r="Q21" s="6" t="s">
        <v>37</v>
      </c>
      <c r="R21" s="3"/>
    </row>
    <row r="22" spans="2:18" x14ac:dyDescent="0.35">
      <c r="B22" s="1" t="s">
        <v>30</v>
      </c>
      <c r="D22" s="9">
        <f>129.76</f>
        <v>129.76</v>
      </c>
      <c r="E22" s="9">
        <v>1400</v>
      </c>
      <c r="F22" s="9">
        <f>870.06</f>
        <v>870.06</v>
      </c>
      <c r="G22" s="9">
        <f>321.31</f>
        <v>321.31</v>
      </c>
      <c r="H22" s="9">
        <f>108.91</f>
        <v>108.91</v>
      </c>
      <c r="K22" s="9">
        <f>21.99</f>
        <v>21.99</v>
      </c>
      <c r="M22" s="9">
        <f>750</f>
        <v>750</v>
      </c>
      <c r="O22" s="18">
        <f t="shared" si="3"/>
        <v>3602.0299999999993</v>
      </c>
      <c r="P22" s="18">
        <f>O22*1.03</f>
        <v>3710.0908999999992</v>
      </c>
      <c r="Q22" s="6" t="s">
        <v>37</v>
      </c>
      <c r="R22" s="3"/>
    </row>
    <row r="23" spans="2:18" x14ac:dyDescent="0.35">
      <c r="B23" s="1" t="s">
        <v>33</v>
      </c>
      <c r="H23" s="9">
        <v>8881</v>
      </c>
      <c r="K23" s="9">
        <v>5901.55</v>
      </c>
      <c r="L23" s="9">
        <v>135</v>
      </c>
      <c r="M23" s="9">
        <v>112</v>
      </c>
      <c r="O23" s="18">
        <f t="shared" si="3"/>
        <v>15029.55</v>
      </c>
      <c r="P23" s="18">
        <f>O23*1.03</f>
        <v>15480.4365</v>
      </c>
      <c r="Q23" s="6" t="s">
        <v>37</v>
      </c>
      <c r="R23" s="3"/>
    </row>
    <row r="24" spans="2:18" x14ac:dyDescent="0.35">
      <c r="B24" s="1" t="s">
        <v>31</v>
      </c>
      <c r="F24" s="9">
        <f>620</f>
        <v>620</v>
      </c>
      <c r="G24" s="9">
        <f>9261</f>
        <v>9261</v>
      </c>
      <c r="H24" s="9">
        <f>-6663.39</f>
        <v>-6663.39</v>
      </c>
      <c r="O24" s="18">
        <f t="shared" si="3"/>
        <v>3217.6099999999997</v>
      </c>
      <c r="P24" s="18">
        <f>81*75</f>
        <v>6075</v>
      </c>
      <c r="Q24" s="6" t="s">
        <v>36</v>
      </c>
      <c r="R24" s="3"/>
    </row>
    <row r="25" spans="2:18" x14ac:dyDescent="0.35">
      <c r="B25" s="1" t="s">
        <v>32</v>
      </c>
      <c r="C25" s="9">
        <v>200</v>
      </c>
      <c r="D25" s="9">
        <v>200</v>
      </c>
      <c r="E25" s="9">
        <v>15326</v>
      </c>
      <c r="F25" s="9">
        <v>200</v>
      </c>
      <c r="G25" s="9">
        <v>2200</v>
      </c>
      <c r="H25" s="9">
        <v>200</v>
      </c>
      <c r="I25" s="9">
        <v>200</v>
      </c>
      <c r="K25" s="9">
        <v>2757.12</v>
      </c>
      <c r="L25" s="9">
        <v>383</v>
      </c>
      <c r="N25" s="9">
        <v>97.25</v>
      </c>
      <c r="O25" s="18">
        <f t="shared" si="3"/>
        <v>21763.37</v>
      </c>
      <c r="P25" s="18">
        <f>O25/2</f>
        <v>10881.684999999999</v>
      </c>
      <c r="Q25" s="6" t="s">
        <v>45</v>
      </c>
      <c r="R25" s="3"/>
    </row>
    <row r="26" spans="2:18" x14ac:dyDescent="0.35">
      <c r="B26" s="1" t="s">
        <v>40</v>
      </c>
      <c r="C26" s="10"/>
      <c r="D26" s="10">
        <v>205.58</v>
      </c>
      <c r="E26" s="10">
        <v>150.47</v>
      </c>
      <c r="F26" s="10">
        <v>1033.53</v>
      </c>
      <c r="G26" s="10">
        <v>104.63</v>
      </c>
      <c r="H26" s="10">
        <v>137.66999999999999</v>
      </c>
      <c r="I26" s="10">
        <v>10.86</v>
      </c>
      <c r="J26" s="10">
        <v>53.24</v>
      </c>
      <c r="K26" s="10">
        <v>238.27</v>
      </c>
      <c r="L26" s="10">
        <v>35.520000000000003</v>
      </c>
      <c r="M26" s="10">
        <v>27.47</v>
      </c>
      <c r="N26" s="10"/>
      <c r="O26" s="19">
        <f t="shared" si="3"/>
        <v>1997.24</v>
      </c>
      <c r="P26" s="19">
        <f>O26*1.03</f>
        <v>2057.1572000000001</v>
      </c>
      <c r="Q26" s="6" t="s">
        <v>37</v>
      </c>
      <c r="R26" s="3"/>
    </row>
    <row r="27" spans="2:18" s="4" customFormat="1" x14ac:dyDescent="0.35">
      <c r="B27" s="4" t="s">
        <v>1</v>
      </c>
      <c r="C27" s="11">
        <f>SUM(C18:C26)</f>
        <v>5228.2400000000007</v>
      </c>
      <c r="D27" s="11">
        <f t="shared" ref="D27:P27" si="4">SUM(D18:D26)</f>
        <v>4648.3900000000003</v>
      </c>
      <c r="E27" s="11">
        <f t="shared" si="4"/>
        <v>20357.46</v>
      </c>
      <c r="F27" s="11">
        <f t="shared" si="4"/>
        <v>6345.79</v>
      </c>
      <c r="G27" s="11">
        <f t="shared" si="4"/>
        <v>15700.429999999998</v>
      </c>
      <c r="H27" s="11">
        <f t="shared" si="4"/>
        <v>6097.5700000000006</v>
      </c>
      <c r="I27" s="11">
        <f t="shared" si="4"/>
        <v>3915.8800000000006</v>
      </c>
      <c r="J27" s="11">
        <f t="shared" si="4"/>
        <v>3444.65</v>
      </c>
      <c r="K27" s="11">
        <f t="shared" si="4"/>
        <v>12434.82</v>
      </c>
      <c r="L27" s="11">
        <f t="shared" si="4"/>
        <v>4805.01</v>
      </c>
      <c r="M27" s="11">
        <f t="shared" si="4"/>
        <v>4809.3900000000003</v>
      </c>
      <c r="N27" s="11">
        <f t="shared" si="4"/>
        <v>3600.67</v>
      </c>
      <c r="O27" s="20">
        <f t="shared" si="4"/>
        <v>91388.3</v>
      </c>
      <c r="P27" s="20">
        <f t="shared" si="4"/>
        <v>87316.568599999984</v>
      </c>
      <c r="Q27" s="14"/>
      <c r="R27" s="5"/>
    </row>
    <row r="28" spans="2:18" s="21" customFormat="1" x14ac:dyDescent="0.35">
      <c r="B28" s="21" t="s">
        <v>34</v>
      </c>
      <c r="C28" s="22">
        <f>C27/C15</f>
        <v>0.170601168570886</v>
      </c>
      <c r="D28" s="22">
        <f t="shared" ref="D28:P28" si="5">D27/D15</f>
        <v>0.18509873161462398</v>
      </c>
      <c r="E28" s="22">
        <f t="shared" si="5"/>
        <v>0.63766515270164448</v>
      </c>
      <c r="F28" s="22">
        <f t="shared" si="5"/>
        <v>0.24879596957578609</v>
      </c>
      <c r="G28" s="22">
        <f t="shared" si="5"/>
        <v>0.56649576041854588</v>
      </c>
      <c r="H28" s="22">
        <f t="shared" si="5"/>
        <v>0.20240896265560168</v>
      </c>
      <c r="I28" s="22">
        <f t="shared" si="5"/>
        <v>0.14611497989364922</v>
      </c>
      <c r="J28" s="22">
        <f t="shared" si="5"/>
        <v>0.10863322988212491</v>
      </c>
      <c r="K28" s="22">
        <f t="shared" si="5"/>
        <v>0.47074826017480215</v>
      </c>
      <c r="L28" s="22">
        <f t="shared" si="5"/>
        <v>0.15328951272220553</v>
      </c>
      <c r="M28" s="22">
        <f t="shared" si="5"/>
        <v>0.14424869589837847</v>
      </c>
      <c r="N28" s="22">
        <f t="shared" si="5"/>
        <v>0.10308528376388243</v>
      </c>
      <c r="O28" s="23">
        <f t="shared" si="5"/>
        <v>0.25701916680367676</v>
      </c>
      <c r="P28" s="23">
        <f t="shared" si="5"/>
        <v>0.20666008556707532</v>
      </c>
      <c r="Q28" s="24"/>
      <c r="R28" s="25"/>
    </row>
    <row r="29" spans="2:18" x14ac:dyDescent="0.3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9"/>
      <c r="P29" s="19"/>
      <c r="Q29" s="6"/>
      <c r="R29" s="3"/>
    </row>
    <row r="30" spans="2:18" s="4" customFormat="1" x14ac:dyDescent="0.35">
      <c r="B30" s="4" t="s">
        <v>48</v>
      </c>
      <c r="C30" s="11">
        <f>C15-C27</f>
        <v>25417.739999999998</v>
      </c>
      <c r="D30" s="11">
        <f t="shared" ref="D30:P30" si="6">D15-D27</f>
        <v>20464.64</v>
      </c>
      <c r="E30" s="11">
        <f t="shared" si="6"/>
        <v>11567.54</v>
      </c>
      <c r="F30" s="11">
        <f t="shared" si="6"/>
        <v>19160.21</v>
      </c>
      <c r="G30" s="11">
        <f t="shared" si="6"/>
        <v>12014.570000000002</v>
      </c>
      <c r="H30" s="11">
        <f t="shared" si="6"/>
        <v>24027.43</v>
      </c>
      <c r="I30" s="11">
        <f t="shared" si="6"/>
        <v>22884.11</v>
      </c>
      <c r="J30" s="11">
        <f t="shared" si="6"/>
        <v>28264.34</v>
      </c>
      <c r="K30" s="11">
        <f t="shared" si="6"/>
        <v>13980.189999999999</v>
      </c>
      <c r="L30" s="11">
        <f t="shared" si="6"/>
        <v>26540.97</v>
      </c>
      <c r="M30" s="11">
        <f t="shared" si="6"/>
        <v>28531.57</v>
      </c>
      <c r="N30" s="11">
        <f t="shared" si="6"/>
        <v>31328.370000000003</v>
      </c>
      <c r="O30" s="20">
        <f t="shared" si="6"/>
        <v>264181.68</v>
      </c>
      <c r="P30" s="20">
        <f t="shared" si="6"/>
        <v>335196.41139999998</v>
      </c>
      <c r="Q30" s="14"/>
      <c r="R30" s="5"/>
    </row>
    <row r="31" spans="2:18" s="4" customFormat="1" x14ac:dyDescent="0.3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20"/>
      <c r="P31" s="20"/>
      <c r="Q31" s="14"/>
      <c r="R31" s="5"/>
    </row>
    <row r="32" spans="2:18" x14ac:dyDescent="0.35">
      <c r="B32" s="1" t="s">
        <v>46</v>
      </c>
      <c r="C32" s="10"/>
      <c r="D32" s="10"/>
      <c r="E32" s="10"/>
      <c r="F32" s="10"/>
      <c r="G32" s="10"/>
      <c r="H32" s="10"/>
      <c r="I32" s="10"/>
      <c r="J32" s="10"/>
      <c r="K32" s="10">
        <f>-K9</f>
        <v>-900</v>
      </c>
      <c r="L32" s="10">
        <f>-L9</f>
        <v>-650</v>
      </c>
      <c r="M32" s="10">
        <f>-M9</f>
        <v>-650</v>
      </c>
      <c r="N32" s="10">
        <f>-N9</f>
        <v>-1800</v>
      </c>
      <c r="O32" s="19">
        <f>-O9</f>
        <v>-4000</v>
      </c>
      <c r="P32" s="19">
        <f>-P9</f>
        <v>-29160</v>
      </c>
    </row>
    <row r="33" spans="2:17" s="4" customFormat="1" x14ac:dyDescent="0.35">
      <c r="B33" s="4" t="s">
        <v>47</v>
      </c>
      <c r="C33" s="11">
        <f>C30+C32</f>
        <v>25417.739999999998</v>
      </c>
      <c r="D33" s="11">
        <f>D30+D32</f>
        <v>20464.64</v>
      </c>
      <c r="E33" s="11">
        <f>E30+E32</f>
        <v>11567.54</v>
      </c>
      <c r="F33" s="11">
        <f>F30+F32</f>
        <v>19160.21</v>
      </c>
      <c r="G33" s="11">
        <f>G30+G32</f>
        <v>12014.570000000002</v>
      </c>
      <c r="H33" s="11">
        <f>H30+H32</f>
        <v>24027.43</v>
      </c>
      <c r="I33" s="11">
        <f>I30+I32</f>
        <v>22884.11</v>
      </c>
      <c r="J33" s="11">
        <f>J30+J32</f>
        <v>28264.34</v>
      </c>
      <c r="K33" s="11">
        <f>K30+K32</f>
        <v>13080.189999999999</v>
      </c>
      <c r="L33" s="11">
        <f>L30+L32</f>
        <v>25890.97</v>
      </c>
      <c r="M33" s="11">
        <f>M30+M32</f>
        <v>27881.57</v>
      </c>
      <c r="N33" s="11">
        <f>N30+N32</f>
        <v>29528.370000000003</v>
      </c>
      <c r="O33" s="20">
        <f>O30+O32</f>
        <v>260181.68</v>
      </c>
      <c r="P33" s="20">
        <f>P30+P32</f>
        <v>306036.41139999998</v>
      </c>
      <c r="Q33" s="26"/>
    </row>
    <row r="34" spans="2:17" x14ac:dyDescent="0.35">
      <c r="O34" s="9"/>
    </row>
    <row r="35" spans="2:17" x14ac:dyDescent="0.35">
      <c r="O35" s="9"/>
    </row>
    <row r="36" spans="2:17" x14ac:dyDescent="0.35">
      <c r="O36" s="9"/>
    </row>
    <row r="37" spans="2:17" x14ac:dyDescent="0.35">
      <c r="O37" s="9"/>
    </row>
    <row r="38" spans="2:17" x14ac:dyDescent="0.35">
      <c r="O38" s="9"/>
    </row>
    <row r="39" spans="2:17" x14ac:dyDescent="0.35">
      <c r="O39" s="9"/>
    </row>
    <row r="40" spans="2:17" x14ac:dyDescent="0.35">
      <c r="O40" s="9"/>
    </row>
    <row r="41" spans="2:17" x14ac:dyDescent="0.35">
      <c r="O41" s="9"/>
    </row>
    <row r="42" spans="2:17" x14ac:dyDescent="0.35">
      <c r="O42" s="9"/>
    </row>
    <row r="43" spans="2:17" x14ac:dyDescent="0.35">
      <c r="O43" s="9"/>
    </row>
    <row r="44" spans="2:17" x14ac:dyDescent="0.35">
      <c r="O44" s="9"/>
    </row>
    <row r="45" spans="2:17" x14ac:dyDescent="0.35">
      <c r="O45" s="9"/>
    </row>
  </sheetData>
  <pageMargins left="0.7" right="0.7" top="0.75" bottom="0.75" header="0.3" footer="0.3"/>
  <ignoredErrors>
    <ignoredError sqref="H8 O13 P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Walker</dc:creator>
  <cp:lastModifiedBy>William Walker</cp:lastModifiedBy>
  <dcterms:created xsi:type="dcterms:W3CDTF">2026-03-26T16:40:25Z</dcterms:created>
  <dcterms:modified xsi:type="dcterms:W3CDTF">2026-04-13T19:03:45Z</dcterms:modified>
</cp:coreProperties>
</file>